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Area" localSheetId="0">лот1!$A$1:$AA$36</definedName>
  </definedNames>
  <calcPr calcId="125725" calcMode="manual"/>
</workbook>
</file>

<file path=xl/calcChain.xml><?xml version="1.0" encoding="utf-8"?>
<calcChain xmlns="http://schemas.openxmlformats.org/spreadsheetml/2006/main">
  <c r="S33" i="3"/>
  <c r="T33"/>
  <c r="U33"/>
  <c r="V33"/>
  <c r="W33"/>
  <c r="X33"/>
  <c r="Y33"/>
  <c r="Z33"/>
  <c r="AA33"/>
  <c r="R33"/>
  <c r="S32"/>
  <c r="T32"/>
  <c r="U32"/>
  <c r="V32"/>
  <c r="W32"/>
  <c r="X32"/>
  <c r="Y32"/>
  <c r="Z32"/>
  <c r="AA32"/>
  <c r="R32"/>
  <c r="S31"/>
  <c r="T31"/>
  <c r="U31"/>
  <c r="V31"/>
  <c r="W31"/>
  <c r="X31"/>
  <c r="Y31"/>
  <c r="Z31"/>
  <c r="AA31"/>
  <c r="R31"/>
  <c r="S29"/>
  <c r="T29"/>
  <c r="U29"/>
  <c r="V29"/>
  <c r="W29"/>
  <c r="X29"/>
  <c r="Y29"/>
  <c r="Z29"/>
  <c r="AA29"/>
  <c r="R29"/>
  <c r="S27"/>
  <c r="T27"/>
  <c r="U27"/>
  <c r="V27"/>
  <c r="W27"/>
  <c r="X27"/>
  <c r="Y27"/>
  <c r="Z27"/>
  <c r="AA27"/>
  <c r="R27"/>
  <c r="R15"/>
  <c r="S15"/>
  <c r="R16"/>
  <c r="S16"/>
  <c r="R17"/>
  <c r="S17"/>
  <c r="R18"/>
  <c r="S18"/>
  <c r="R19"/>
  <c r="S19"/>
  <c r="R20"/>
  <c r="S20"/>
  <c r="R21"/>
  <c r="S21"/>
  <c r="R23"/>
  <c r="S23"/>
  <c r="R24"/>
  <c r="S24"/>
  <c r="R25"/>
  <c r="S25"/>
  <c r="R26"/>
  <c r="S26"/>
  <c r="R30"/>
  <c r="S30"/>
  <c r="AA30"/>
  <c r="Z30"/>
  <c r="Y30"/>
  <c r="X30"/>
  <c r="W30"/>
  <c r="V30"/>
  <c r="U30"/>
  <c r="T30"/>
  <c r="AA28"/>
  <c r="Z28"/>
  <c r="Y28"/>
  <c r="X28"/>
  <c r="W28"/>
  <c r="V28"/>
  <c r="U28"/>
  <c r="T28"/>
  <c r="AA26"/>
  <c r="Z26"/>
  <c r="Y26"/>
  <c r="X26"/>
  <c r="W26"/>
  <c r="V26"/>
  <c r="U26"/>
  <c r="T26"/>
  <c r="AA25"/>
  <c r="Z25"/>
  <c r="Y25"/>
  <c r="X25"/>
  <c r="W25"/>
  <c r="V25"/>
  <c r="U25"/>
  <c r="T25"/>
  <c r="AA24"/>
  <c r="Z24"/>
  <c r="Y24"/>
  <c r="X24"/>
  <c r="W24"/>
  <c r="V24"/>
  <c r="U24"/>
  <c r="T24"/>
  <c r="AA23"/>
  <c r="Z23"/>
  <c r="Y23"/>
  <c r="X23"/>
  <c r="W23"/>
  <c r="V23"/>
  <c r="U23"/>
  <c r="T23"/>
  <c r="AA22"/>
  <c r="Z22"/>
  <c r="Y22"/>
  <c r="X22"/>
  <c r="W22"/>
  <c r="V22"/>
  <c r="U22"/>
  <c r="T22"/>
  <c r="AA21"/>
  <c r="Z21"/>
  <c r="Y21"/>
  <c r="X21"/>
  <c r="W21"/>
  <c r="V21"/>
  <c r="U21"/>
  <c r="T21"/>
  <c r="AA20"/>
  <c r="Z20"/>
  <c r="Y20"/>
  <c r="X20"/>
  <c r="W20"/>
  <c r="V20"/>
  <c r="U20"/>
  <c r="T20"/>
  <c r="AA19"/>
  <c r="Z19"/>
  <c r="Y19"/>
  <c r="X19"/>
  <c r="W19"/>
  <c r="V19"/>
  <c r="U19"/>
  <c r="T19"/>
  <c r="AA18"/>
  <c r="Z18"/>
  <c r="Y18"/>
  <c r="X18"/>
  <c r="W18"/>
  <c r="V18"/>
  <c r="U18"/>
  <c r="T18"/>
  <c r="AA17"/>
  <c r="Z17"/>
  <c r="Y17"/>
  <c r="X17"/>
  <c r="W17"/>
  <c r="V17"/>
  <c r="U17"/>
  <c r="T17"/>
  <c r="AA16"/>
  <c r="Z16"/>
  <c r="Y16"/>
  <c r="X16"/>
  <c r="W16"/>
  <c r="V16"/>
  <c r="U16"/>
  <c r="T16"/>
  <c r="AA15"/>
  <c r="Z15"/>
  <c r="Y15"/>
  <c r="X15"/>
  <c r="W15"/>
  <c r="V15"/>
  <c r="U15"/>
  <c r="T15"/>
  <c r="AA14"/>
  <c r="AA34" s="1"/>
  <c r="AA36" s="1"/>
  <c r="Z14"/>
  <c r="Z34" s="1"/>
  <c r="Z36" s="1"/>
  <c r="Y14"/>
  <c r="Y34" s="1"/>
  <c r="Y36" s="1"/>
  <c r="X14"/>
  <c r="X34" s="1"/>
  <c r="X36" s="1"/>
  <c r="W14"/>
  <c r="W34" s="1"/>
  <c r="W36" s="1"/>
  <c r="V14"/>
  <c r="V34" s="1"/>
  <c r="V36" s="1"/>
  <c r="U14"/>
  <c r="U34" s="1"/>
  <c r="U36" s="1"/>
  <c r="T14"/>
  <c r="T34" s="1"/>
  <c r="T36" s="1"/>
  <c r="O33"/>
  <c r="O32"/>
  <c r="O31"/>
  <c r="O30"/>
  <c r="O29"/>
  <c r="O27"/>
  <c r="O26"/>
  <c r="O25"/>
  <c r="O24"/>
  <c r="O23"/>
  <c r="O21"/>
  <c r="O20"/>
  <c r="O19"/>
  <c r="O18"/>
  <c r="O17"/>
  <c r="O16"/>
  <c r="O15"/>
  <c r="R28" l="1"/>
  <c r="R22"/>
  <c r="R14"/>
  <c r="S28"/>
  <c r="S22"/>
  <c r="S14"/>
  <c r="O22"/>
  <c r="O28"/>
  <c r="O14"/>
  <c r="M33"/>
  <c r="N33"/>
  <c r="M32"/>
  <c r="N32"/>
  <c r="M31"/>
  <c r="N31"/>
  <c r="M30"/>
  <c r="N30"/>
  <c r="M29"/>
  <c r="N29"/>
  <c r="M27"/>
  <c r="N27"/>
  <c r="M26"/>
  <c r="N26"/>
  <c r="M25"/>
  <c r="N25"/>
  <c r="M24"/>
  <c r="N24"/>
  <c r="M23"/>
  <c r="N23"/>
  <c r="M21"/>
  <c r="N21"/>
  <c r="M20"/>
  <c r="N20"/>
  <c r="M19"/>
  <c r="N19"/>
  <c r="M18"/>
  <c r="N18"/>
  <c r="M17"/>
  <c r="N17"/>
  <c r="M16"/>
  <c r="N16"/>
  <c r="M15"/>
  <c r="N15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R34" l="1"/>
  <c r="R36" s="1"/>
  <c r="S34"/>
  <c r="S36" s="1"/>
  <c r="O34"/>
  <c r="O36" s="1"/>
  <c r="M22"/>
  <c r="N28"/>
  <c r="M14"/>
  <c r="N22"/>
  <c r="M28"/>
  <c r="J14"/>
  <c r="N14"/>
  <c r="J28"/>
  <c r="J22"/>
  <c r="H31"/>
  <c r="H14"/>
  <c r="H29"/>
  <c r="H26"/>
  <c r="H27"/>
  <c r="AB34" l="1"/>
  <c r="AC34" s="1"/>
  <c r="N34"/>
  <c r="N36" s="1"/>
  <c r="J34"/>
  <c r="J36" s="1"/>
  <c r="M34"/>
  <c r="M36" s="1"/>
  <c r="I22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<sst xmlns="http://schemas.openxmlformats.org/spreadsheetml/2006/main" count="153" uniqueCount="90">
  <si>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</si>
  <si>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</si>
  <si>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</si>
  <si>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</si>
  <si>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</si>
  <si>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</si>
  <si>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</si>
  <si>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</si>
  <si>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</si>
  <si>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</si>
  <si>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</si>
  <si>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</si>
  <si>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</si>
  <si>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</si>
  <si>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</si>
  <si>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</si>
  <si>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</si>
  <si>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</si>
  <si>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</si>
  <si>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</si>
  <si>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</si>
  <si>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</si>
  <si>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</si>
  <si>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</si>
  <si>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</si>
  <si>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</si>
  <si>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</si>
  <si>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</si>
  <si>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</si>
  <si>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</si>
  <si>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</si>
  <si>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</si>
  <si>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</si>
  <si>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</si>
  <si>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</si>
  <si>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</si>
  <si>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</si>
  <si>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</si>
  <si>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</si>
  <si>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</si>
  <si>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</si>
  <si>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</si>
  <si>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</si>
  <si>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</si>
  <si>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</si>
  <si>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</si>
  <si>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</si>
  <si>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</si>
  <si>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</si>
  <si>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</si>
  <si>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</si>
  <si>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</si>
  <si>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</si>
  <si>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 1</t>
  </si>
  <si>
    <t>Приложение №2</t>
  </si>
  <si>
    <t>к извещению и документации</t>
  </si>
  <si>
    <t xml:space="preserve"> о проведении открытого конкурса</t>
  </si>
  <si>
    <t>27</t>
  </si>
  <si>
    <t>35</t>
  </si>
  <si>
    <t>33</t>
  </si>
  <si>
    <t>1</t>
  </si>
  <si>
    <t>3</t>
  </si>
  <si>
    <t>ЛЬВА ТОЛСТОГО ул.</t>
  </si>
  <si>
    <t>30, 1</t>
  </si>
  <si>
    <t>28, 1</t>
  </si>
  <si>
    <t>МОРСКАЯ ул.</t>
  </si>
  <si>
    <t>СТАДИОННАЯ ул.</t>
  </si>
  <si>
    <t>ИВАНА РЯБОВА ул.</t>
  </si>
  <si>
    <t>10</t>
  </si>
  <si>
    <t>14, 1</t>
  </si>
  <si>
    <t>28</t>
  </si>
  <si>
    <t>39</t>
  </si>
  <si>
    <t>12</t>
  </si>
  <si>
    <t>14</t>
  </si>
  <si>
    <t>МВК  деревянный не благоустроенный без канализации</t>
  </si>
  <si>
    <t>892,2</t>
  </si>
  <si>
    <t>329,3</t>
  </si>
  <si>
    <t>147,2</t>
  </si>
  <si>
    <t>144,5</t>
  </si>
  <si>
    <t>327,3</t>
  </si>
  <si>
    <t>337,8</t>
  </si>
  <si>
    <t>140</t>
  </si>
  <si>
    <t>141,4</t>
  </si>
  <si>
    <t>384</t>
  </si>
  <si>
    <t>519,3</t>
  </si>
  <si>
    <t>588,8</t>
  </si>
  <si>
    <t>105,8</t>
  </si>
  <si>
    <t>68,9</t>
  </si>
  <si>
    <t>103,8</t>
  </si>
  <si>
    <t>Жилой район Маймаксанский территориальный округ (пос. Конвейер)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</si>
</sst>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8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/>
    <xf numFmtId="4" fontId="8" fillId="2" borderId="8" xfId="0" applyNumberFormat="1" applyFont="1" applyFill="1" applyBorder="1" applyAlignment="1">
      <alignment horizontal="right" vertical="center"/>
    </xf>
    <xf numFmtId="4" fontId="8" fillId="2" borderId="9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4" fontId="2" fillId="0" borderId="0" xfId="0" applyNumberFormat="1" applyFont="1" applyAlignment="1"/>
    <xf numFmtId="4" fontId="2" fillId="2" borderId="0" xfId="0" applyNumberFormat="1" applyFont="1" applyFill="1" applyAlignment="1">
      <alignment horizontal="right"/>
    </xf>
    <xf numFmtId="4" fontId="8" fillId="2" borderId="2" xfId="0" applyNumberFormat="1" applyFont="1" applyFill="1" applyBorder="1" applyAlignment="1">
      <alignment horizontal="right" vertical="center"/>
    </xf>
    <xf numFmtId="49" fontId="12" fillId="0" borderId="11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left" wrapText="1"/>
    </xf>
    <xf numFmtId="4" fontId="4" fillId="2" borderId="10" xfId="0" applyNumberFormat="1" applyFont="1" applyFill="1" applyBorder="1" applyAlignment="1">
      <alignment horizontal="center" vertical="top"/>
    </xf>
    <xf numFmtId="4" fontId="10" fillId="2" borderId="10" xfId="0" applyNumberFormat="1" applyFont="1" applyFill="1" applyBorder="1" applyAlignment="1">
      <alignment horizontal="center"/>
    </xf>
    <xf numFmtId="4" fontId="9" fillId="2" borderId="10" xfId="0" applyNumberFormat="1" applyFont="1" applyFill="1" applyBorder="1" applyAlignment="1">
      <alignment horizontal="center" vertical="top"/>
    </xf>
    <xf numFmtId="4" fontId="8" fillId="0" borderId="10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9" fillId="2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 vertical="top" wrapText="1"/>
    </xf>
    <xf numFmtId="4" fontId="9" fillId="2" borderId="10" xfId="0" applyNumberFormat="1" applyFont="1" applyFill="1" applyBorder="1" applyAlignment="1">
      <alignment horizontal="center" vertical="top" wrapText="1"/>
    </xf>
    <xf numFmtId="4" fontId="4" fillId="2" borderId="10" xfId="0" applyNumberFormat="1" applyFont="1" applyFill="1" applyBorder="1" applyAlignment="1">
      <alignment horizontal="center" wrapText="1"/>
    </xf>
    <xf numFmtId="4" fontId="9" fillId="2" borderId="10" xfId="0" applyNumberFormat="1" applyFont="1" applyFill="1" applyBorder="1" applyAlignment="1">
      <alignment horizontal="center" wrapText="1"/>
    </xf>
    <xf numFmtId="4" fontId="10" fillId="2" borderId="10" xfId="0" applyNumberFormat="1" applyFont="1" applyFill="1" applyBorder="1" applyAlignment="1">
      <alignment horizontal="center" vertical="top"/>
    </xf>
    <xf numFmtId="4" fontId="8" fillId="0" borderId="10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left" vertical="top"/>
    </xf>
    <xf numFmtId="4" fontId="10" fillId="2" borderId="10" xfId="0" applyNumberFormat="1" applyFont="1" applyFill="1" applyBorder="1" applyAlignment="1">
      <alignment horizontal="left" vertical="top"/>
    </xf>
    <xf numFmtId="4" fontId="10" fillId="2" borderId="10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center" vertical="center"/>
    </xf>
    <xf numFmtId="0" fontId="2" fillId="0" borderId="8" xfId="0" applyFont="1" applyBorder="1" applyAlignment="1"/>
    <xf numFmtId="4" fontId="8" fillId="2" borderId="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left" vertical="top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center" vertical="top"/>
    </xf>
    <xf numFmtId="4" fontId="4" fillId="2" borderId="10" xfId="0" applyNumberFormat="1" applyFont="1" applyFill="1" applyBorder="1" applyAlignment="1">
      <alignment horizontal="left" vertical="top" wrapText="1"/>
    </xf>
    <xf numFmtId="4" fontId="4" fillId="2" borderId="10" xfId="0" applyNumberFormat="1" applyFont="1" applyFill="1" applyBorder="1" applyAlignment="1">
      <alignment horizontal="left" vertical="top"/>
    </xf>
    <xf numFmtId="4" fontId="8" fillId="2" borderId="10" xfId="0" applyNumberFormat="1" applyFont="1" applyFill="1" applyBorder="1" applyAlignment="1">
      <alignment horizontal="center" vertical="top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left" vertical="top"/>
    </xf>
    <xf numFmtId="4" fontId="8" fillId="2" borderId="11" xfId="0" applyNumberFormat="1" applyFont="1" applyFill="1" applyBorder="1" applyAlignment="1">
      <alignment horizontal="left" vertical="top"/>
    </xf>
    <xf numFmtId="4" fontId="10" fillId="2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wrapText="1"/>
    </xf>
    <xf numFmtId="4" fontId="10" fillId="2" borderId="11" xfId="0" applyNumberFormat="1" applyFont="1" applyFill="1" applyBorder="1" applyAlignment="1">
      <alignment horizontal="center" vertical="top"/>
    </xf>
    <xf numFmtId="164" fontId="9" fillId="2" borderId="11" xfId="0" applyNumberFormat="1" applyFont="1" applyFill="1" applyBorder="1" applyAlignment="1">
      <alignment horizontal="center" wrapText="1"/>
    </xf>
    <xf numFmtId="4" fontId="8" fillId="0" borderId="1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2"/>
  <sheetViews>
    <sheetView tabSelected="1" view="pageBreakPreview" zoomScaleNormal="100" zoomScaleSheetLayoutView="100" workbookViewId="0">
      <selection activeCell="A36" sqref="A36:AA36"/>
    </sheetView>
  </sheetViews>
  <sheetFormatPr defaultRowHeight="12.75"/>
  <cols>
    <col min="1" max="5" width="9.140625" style="6"/>
    <col min="6" max="6" width="19.140625" style="6" customWidth="1"/>
    <col min="7" max="7" width="20.5703125" style="6" customWidth="1"/>
    <col min="8" max="8" width="11.5703125" style="7" customWidth="1"/>
    <col min="9" max="10" width="8.5703125" style="7" customWidth="1"/>
    <col min="11" max="11" width="20.28515625" style="6" customWidth="1"/>
    <col min="12" max="12" width="12.5703125" style="7" customWidth="1"/>
    <col min="13" max="14" width="8.42578125" style="7" customWidth="1"/>
    <col min="15" max="15" width="8.42578125" style="9" customWidth="1"/>
    <col min="16" max="16" width="20.28515625" style="6" customWidth="1"/>
    <col min="17" max="17" width="11.7109375" style="1" customWidth="1"/>
    <col min="18" max="20" width="8.42578125" style="18" customWidth="1"/>
    <col min="21" max="21" width="8.28515625" style="18" customWidth="1"/>
    <col min="22" max="25" width="8.42578125" style="18" customWidth="1"/>
    <col min="26" max="26" width="8.42578125" style="6" customWidth="1"/>
    <col min="27" max="27" width="7.85546875" style="18" customWidth="1"/>
    <col min="28" max="28" width="11.7109375" style="1" customWidth="1"/>
    <col min="29" max="39" width="9.140625" style="1"/>
  </cols>
  <sheetData>
    <row r="1" spans="1:27" s="1" customFormat="1" ht="16.5" customHeight="1">
      <c r="A1" s="61" t="s">
        <v>25</v>
      </c>
      <c r="B1" s="61"/>
      <c r="C1" s="61"/>
      <c r="D1" s="61"/>
      <c r="E1" s="61"/>
      <c r="F1" s="61"/>
      <c r="G1" s="61"/>
      <c r="H1" s="7"/>
      <c r="I1" s="7"/>
      <c r="J1" s="7"/>
      <c r="K1" s="9"/>
      <c r="L1" s="9" t="s">
        <v>54</v>
      </c>
      <c r="M1" s="3"/>
      <c r="N1" s="3"/>
      <c r="O1" s="3"/>
      <c r="P1" s="9"/>
      <c r="R1" s="3"/>
      <c r="S1" s="3"/>
      <c r="T1" s="3"/>
      <c r="U1" s="3"/>
      <c r="V1" s="3"/>
      <c r="W1" s="3"/>
      <c r="X1" s="3"/>
      <c r="Y1" s="3"/>
      <c r="Z1" s="6"/>
      <c r="AA1" s="3"/>
    </row>
    <row r="2" spans="1:27" s="1" customFormat="1" ht="16.5" customHeight="1">
      <c r="A2" s="61" t="s">
        <v>24</v>
      </c>
      <c r="B2" s="61"/>
      <c r="C2" s="61"/>
      <c r="D2" s="61"/>
      <c r="E2" s="61"/>
      <c r="F2" s="61"/>
      <c r="G2" s="61"/>
      <c r="H2" s="7"/>
      <c r="I2" s="11"/>
      <c r="J2" s="7"/>
      <c r="K2" s="9"/>
      <c r="L2" s="9" t="s">
        <v>55</v>
      </c>
      <c r="M2" s="4"/>
      <c r="N2" s="4"/>
      <c r="O2" s="4"/>
      <c r="P2" s="9"/>
      <c r="R2" s="4"/>
      <c r="S2" s="4"/>
      <c r="T2" s="4"/>
      <c r="U2" s="4"/>
      <c r="V2" s="4"/>
      <c r="W2" s="4"/>
      <c r="X2" s="4"/>
      <c r="Y2" s="4"/>
      <c r="Z2" s="6"/>
      <c r="AA2" s="4"/>
    </row>
    <row r="3" spans="1:27" s="1" customFormat="1" ht="16.5" customHeight="1">
      <c r="A3" s="61" t="s">
        <v>23</v>
      </c>
      <c r="B3" s="61"/>
      <c r="C3" s="61"/>
      <c r="D3" s="61"/>
      <c r="E3" s="61"/>
      <c r="F3" s="61"/>
      <c r="G3" s="61"/>
      <c r="H3" s="7"/>
      <c r="I3" s="7"/>
      <c r="J3" s="7"/>
      <c r="K3" s="9"/>
      <c r="L3" s="9" t="s">
        <v>56</v>
      </c>
      <c r="M3" s="4"/>
      <c r="N3" s="4"/>
      <c r="O3" s="4"/>
      <c r="P3" s="9"/>
      <c r="R3" s="4"/>
      <c r="S3" s="4"/>
      <c r="T3" s="4"/>
      <c r="U3" s="4"/>
      <c r="V3" s="4"/>
      <c r="W3" s="4"/>
      <c r="X3" s="4"/>
      <c r="Y3" s="4"/>
      <c r="Z3" s="6"/>
      <c r="AA3" s="4"/>
    </row>
    <row r="4" spans="1:27" s="1" customFormat="1" ht="16.5" customHeight="1">
      <c r="A4" s="61" t="s">
        <v>22</v>
      </c>
      <c r="B4" s="61"/>
      <c r="C4" s="61"/>
      <c r="D4" s="61"/>
      <c r="E4" s="61"/>
      <c r="F4" s="61"/>
      <c r="G4" s="61"/>
      <c r="H4" s="7"/>
      <c r="I4" s="7"/>
      <c r="J4" s="7"/>
      <c r="K4" s="7"/>
      <c r="L4" s="7"/>
      <c r="M4" s="7"/>
      <c r="N4" s="7"/>
      <c r="O4" s="9"/>
      <c r="P4" s="9"/>
      <c r="R4" s="18"/>
      <c r="S4" s="18"/>
      <c r="T4" s="18"/>
      <c r="U4" s="18"/>
      <c r="V4" s="18"/>
      <c r="W4" s="18"/>
      <c r="X4" s="18"/>
      <c r="Y4" s="18"/>
      <c r="Z4" s="6"/>
      <c r="AA4" s="18"/>
    </row>
    <row r="5" spans="1:27" s="1" customFormat="1">
      <c r="A5" s="5" t="s">
        <v>53</v>
      </c>
      <c r="B5" s="5" t="s">
        <v>89</v>
      </c>
      <c r="C5" s="6"/>
      <c r="D5" s="6"/>
      <c r="E5" s="6"/>
      <c r="F5" s="6"/>
      <c r="G5" s="6"/>
      <c r="H5" s="7"/>
      <c r="I5" s="7"/>
      <c r="J5" s="7"/>
      <c r="K5" s="6"/>
      <c r="L5" s="7"/>
      <c r="M5" s="7"/>
      <c r="N5" s="7"/>
      <c r="O5" s="9"/>
      <c r="P5" s="6"/>
      <c r="R5" s="18"/>
      <c r="S5" s="18"/>
      <c r="T5" s="18"/>
      <c r="U5" s="18"/>
      <c r="V5" s="18"/>
      <c r="W5" s="18"/>
      <c r="X5" s="18"/>
      <c r="Y5" s="18"/>
      <c r="Z5" s="6"/>
      <c r="AA5" s="18"/>
    </row>
    <row r="6" spans="1:27" s="1" customFormat="1" ht="15.75" customHeight="1">
      <c r="A6" s="41" t="s">
        <v>21</v>
      </c>
      <c r="B6" s="42"/>
      <c r="C6" s="42"/>
      <c r="D6" s="42"/>
      <c r="E6" s="42"/>
      <c r="F6" s="42"/>
      <c r="G6" s="59" t="s">
        <v>20</v>
      </c>
      <c r="H6" s="60"/>
      <c r="I6" s="60"/>
      <c r="J6" s="60"/>
      <c r="K6" s="60"/>
      <c r="L6" s="60"/>
      <c r="M6" s="60"/>
      <c r="N6" s="19"/>
      <c r="O6" s="19"/>
      <c r="P6" s="12"/>
      <c r="Q6" s="40"/>
      <c r="R6" s="14"/>
      <c r="S6" s="14"/>
      <c r="T6" s="14"/>
      <c r="U6" s="14"/>
      <c r="V6" s="14"/>
      <c r="W6" s="14"/>
      <c r="X6" s="14"/>
      <c r="Y6" s="14"/>
      <c r="Z6" s="13"/>
      <c r="AA6" s="15"/>
    </row>
    <row r="7" spans="1:27" s="10" customFormat="1" ht="44.25" customHeight="1">
      <c r="A7" s="43"/>
      <c r="B7" s="44"/>
      <c r="C7" s="44"/>
      <c r="D7" s="44"/>
      <c r="E7" s="44"/>
      <c r="F7" s="44"/>
      <c r="G7" s="47" t="s">
        <v>19</v>
      </c>
      <c r="H7" s="57" t="s">
        <v>46</v>
      </c>
      <c r="I7" s="20" t="s">
        <v>62</v>
      </c>
      <c r="J7" s="20" t="s">
        <v>62</v>
      </c>
      <c r="K7" s="49" t="s">
        <v>19</v>
      </c>
      <c r="L7" s="57" t="s">
        <v>47</v>
      </c>
      <c r="M7" s="20" t="s">
        <v>62</v>
      </c>
      <c r="N7" s="20" t="s">
        <v>62</v>
      </c>
      <c r="O7" s="20" t="s">
        <v>67</v>
      </c>
      <c r="P7" s="49" t="s">
        <v>19</v>
      </c>
      <c r="Q7" s="57" t="s">
        <v>74</v>
      </c>
      <c r="R7" s="20" t="s">
        <v>62</v>
      </c>
      <c r="S7" s="20" t="s">
        <v>62</v>
      </c>
      <c r="T7" s="20" t="s">
        <v>62</v>
      </c>
      <c r="U7" s="20" t="s">
        <v>62</v>
      </c>
      <c r="V7" s="20" t="s">
        <v>65</v>
      </c>
      <c r="W7" s="20" t="s">
        <v>65</v>
      </c>
      <c r="X7" s="20" t="s">
        <v>62</v>
      </c>
      <c r="Y7" s="20" t="s">
        <v>66</v>
      </c>
      <c r="Z7" s="20" t="s">
        <v>66</v>
      </c>
      <c r="AA7" s="20" t="s">
        <v>66</v>
      </c>
    </row>
    <row r="8" spans="1:27" s="10" customFormat="1">
      <c r="A8" s="45"/>
      <c r="B8" s="46"/>
      <c r="C8" s="46"/>
      <c r="D8" s="46"/>
      <c r="E8" s="46"/>
      <c r="F8" s="46"/>
      <c r="G8" s="48"/>
      <c r="H8" s="58"/>
      <c r="I8" s="21" t="s">
        <v>63</v>
      </c>
      <c r="J8" s="21" t="s">
        <v>64</v>
      </c>
      <c r="K8" s="50"/>
      <c r="L8" s="58"/>
      <c r="M8" s="21" t="s">
        <v>57</v>
      </c>
      <c r="N8" s="21" t="s">
        <v>70</v>
      </c>
      <c r="O8" s="21" t="s">
        <v>72</v>
      </c>
      <c r="P8" s="50"/>
      <c r="Q8" s="58"/>
      <c r="R8" s="21" t="s">
        <v>68</v>
      </c>
      <c r="S8" s="21" t="s">
        <v>69</v>
      </c>
      <c r="T8" s="21" t="s">
        <v>59</v>
      </c>
      <c r="U8" s="21" t="s">
        <v>58</v>
      </c>
      <c r="V8" s="21" t="s">
        <v>60</v>
      </c>
      <c r="W8" s="21" t="s">
        <v>61</v>
      </c>
      <c r="X8" s="21" t="s">
        <v>71</v>
      </c>
      <c r="Y8" s="21" t="s">
        <v>72</v>
      </c>
      <c r="Z8" s="21" t="s">
        <v>68</v>
      </c>
      <c r="AA8" s="21" t="s">
        <v>73</v>
      </c>
    </row>
    <row r="9" spans="1:27" s="1" customFormat="1">
      <c r="A9" s="53" t="s">
        <v>18</v>
      </c>
      <c r="B9" s="53"/>
      <c r="C9" s="53"/>
      <c r="D9" s="53"/>
      <c r="E9" s="53"/>
      <c r="F9" s="53"/>
      <c r="G9" s="22"/>
      <c r="H9" s="23">
        <f t="shared" ref="H9" si="0">SUM(H10:H13)</f>
        <v>0</v>
      </c>
      <c r="I9" s="23">
        <f t="shared" ref="I9:J9" si="1">SUM(I10:I13)</f>
        <v>0</v>
      </c>
      <c r="J9" s="23">
        <f t="shared" si="1"/>
        <v>0</v>
      </c>
      <c r="K9" s="24"/>
      <c r="L9" s="23">
        <v>0</v>
      </c>
      <c r="M9" s="23">
        <v>0</v>
      </c>
      <c r="N9" s="23">
        <v>0</v>
      </c>
      <c r="O9" s="23">
        <v>0</v>
      </c>
      <c r="P9" s="24"/>
      <c r="Q9" s="25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</row>
    <row r="10" spans="1:27" s="1" customFormat="1">
      <c r="A10" s="55" t="s">
        <v>26</v>
      </c>
      <c r="B10" s="55"/>
      <c r="C10" s="55"/>
      <c r="D10" s="55"/>
      <c r="E10" s="55"/>
      <c r="F10" s="55"/>
      <c r="G10" s="26" t="s">
        <v>11</v>
      </c>
      <c r="H10" s="27">
        <v>0</v>
      </c>
      <c r="I10" s="27">
        <v>0</v>
      </c>
      <c r="J10" s="27">
        <v>0</v>
      </c>
      <c r="K10" s="27" t="s">
        <v>11</v>
      </c>
      <c r="L10" s="27">
        <v>0</v>
      </c>
      <c r="M10" s="27">
        <v>0</v>
      </c>
      <c r="N10" s="27">
        <v>0</v>
      </c>
      <c r="O10" s="27">
        <v>0</v>
      </c>
      <c r="P10" s="27" t="s">
        <v>11</v>
      </c>
      <c r="Q10" s="28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</row>
    <row r="11" spans="1:27" s="1" customFormat="1">
      <c r="A11" s="55" t="s">
        <v>27</v>
      </c>
      <c r="B11" s="55"/>
      <c r="C11" s="55"/>
      <c r="D11" s="55"/>
      <c r="E11" s="55"/>
      <c r="F11" s="55"/>
      <c r="G11" s="26" t="s">
        <v>11</v>
      </c>
      <c r="H11" s="27">
        <v>0</v>
      </c>
      <c r="I11" s="27">
        <v>0</v>
      </c>
      <c r="J11" s="27">
        <v>0</v>
      </c>
      <c r="K11" s="27" t="s">
        <v>11</v>
      </c>
      <c r="L11" s="27">
        <v>0</v>
      </c>
      <c r="M11" s="27">
        <v>0</v>
      </c>
      <c r="N11" s="27">
        <v>0</v>
      </c>
      <c r="O11" s="27">
        <v>0</v>
      </c>
      <c r="P11" s="27" t="s">
        <v>11</v>
      </c>
      <c r="Q11" s="28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</row>
    <row r="12" spans="1:27" s="1" customFormat="1">
      <c r="A12" s="55" t="s">
        <v>17</v>
      </c>
      <c r="B12" s="55"/>
      <c r="C12" s="55"/>
      <c r="D12" s="55"/>
      <c r="E12" s="55"/>
      <c r="F12" s="55"/>
      <c r="G12" s="26" t="s">
        <v>11</v>
      </c>
      <c r="H12" s="27">
        <v>0</v>
      </c>
      <c r="I12" s="27">
        <v>0</v>
      </c>
      <c r="J12" s="27">
        <v>0</v>
      </c>
      <c r="K12" s="27" t="s">
        <v>11</v>
      </c>
      <c r="L12" s="27">
        <v>0</v>
      </c>
      <c r="M12" s="27">
        <v>0</v>
      </c>
      <c r="N12" s="27">
        <v>0</v>
      </c>
      <c r="O12" s="27">
        <v>0</v>
      </c>
      <c r="P12" s="27" t="s">
        <v>11</v>
      </c>
      <c r="Q12" s="28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</row>
    <row r="13" spans="1:27" s="1" customFormat="1">
      <c r="A13" s="55" t="s">
        <v>16</v>
      </c>
      <c r="B13" s="55"/>
      <c r="C13" s="55"/>
      <c r="D13" s="55"/>
      <c r="E13" s="55"/>
      <c r="F13" s="55"/>
      <c r="G13" s="26" t="s">
        <v>15</v>
      </c>
      <c r="H13" s="27">
        <v>0</v>
      </c>
      <c r="I13" s="27">
        <v>0</v>
      </c>
      <c r="J13" s="27">
        <v>0</v>
      </c>
      <c r="K13" s="27" t="s">
        <v>15</v>
      </c>
      <c r="L13" s="27">
        <v>0</v>
      </c>
      <c r="M13" s="27">
        <v>0</v>
      </c>
      <c r="N13" s="27">
        <v>0</v>
      </c>
      <c r="O13" s="27">
        <v>0</v>
      </c>
      <c r="P13" s="27" t="s">
        <v>15</v>
      </c>
      <c r="Q13" s="28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</row>
    <row r="14" spans="1:27" s="1" customFormat="1" ht="23.85" customHeight="1">
      <c r="A14" s="56" t="s">
        <v>14</v>
      </c>
      <c r="B14" s="56"/>
      <c r="C14" s="56"/>
      <c r="D14" s="56"/>
      <c r="E14" s="56"/>
      <c r="F14" s="56"/>
      <c r="G14" s="22"/>
      <c r="H14" s="23">
        <f t="shared" ref="H14" si="2">SUM(H15:H21)</f>
        <v>4.6500000000000004</v>
      </c>
      <c r="I14" s="23">
        <f t="shared" ref="I14:J14" si="3">SUM(I15:I21)</f>
        <v>49784.760000000009</v>
      </c>
      <c r="J14" s="23">
        <f t="shared" si="3"/>
        <v>18374.940000000002</v>
      </c>
      <c r="K14" s="24"/>
      <c r="L14" s="23">
        <v>11.129999999999999</v>
      </c>
      <c r="M14" s="23">
        <f t="shared" ref="M14:N14" si="4">SUM(M15:M21)</f>
        <v>19660.031999999999</v>
      </c>
      <c r="N14" s="23">
        <f t="shared" si="4"/>
        <v>19299.419999999998</v>
      </c>
      <c r="O14" s="23">
        <f t="shared" ref="O14" si="5">SUM(O15:O21)</f>
        <v>13583.052000000001</v>
      </c>
      <c r="P14" s="24"/>
      <c r="Q14" s="25">
        <v>11.129999999999999</v>
      </c>
      <c r="R14" s="23">
        <f t="shared" ref="R14:AA14" si="6">SUM(R15:R21)</f>
        <v>43714.188000000002</v>
      </c>
      <c r="S14" s="23">
        <f t="shared" si="6"/>
        <v>45116.567999999999</v>
      </c>
      <c r="T14" s="23">
        <f t="shared" si="6"/>
        <v>18698.400000000001</v>
      </c>
      <c r="U14" s="23">
        <f t="shared" si="6"/>
        <v>18885.384000000002</v>
      </c>
      <c r="V14" s="23">
        <f t="shared" si="6"/>
        <v>51287.040000000001</v>
      </c>
      <c r="W14" s="23">
        <f t="shared" si="6"/>
        <v>69357.707999999999</v>
      </c>
      <c r="X14" s="23">
        <f t="shared" si="6"/>
        <v>78640.127999999997</v>
      </c>
      <c r="Y14" s="23">
        <f t="shared" si="6"/>
        <v>14130.648000000001</v>
      </c>
      <c r="Z14" s="23">
        <f t="shared" si="6"/>
        <v>9202.2840000000015</v>
      </c>
      <c r="AA14" s="23">
        <f t="shared" si="6"/>
        <v>13863.528</v>
      </c>
    </row>
    <row r="15" spans="1:27" s="1" customFormat="1">
      <c r="A15" s="55" t="s">
        <v>40</v>
      </c>
      <c r="B15" s="55"/>
      <c r="C15" s="55"/>
      <c r="D15" s="55"/>
      <c r="E15" s="55"/>
      <c r="F15" s="55"/>
      <c r="G15" s="26" t="s">
        <v>41</v>
      </c>
      <c r="H15" s="27">
        <v>1.08</v>
      </c>
      <c r="I15" s="27">
        <f>1.08*12*I35</f>
        <v>11562.912000000002</v>
      </c>
      <c r="J15" s="27">
        <f t="shared" ref="J15" si="7">1.08*12*J35</f>
        <v>4267.7280000000001</v>
      </c>
      <c r="K15" s="27" t="s">
        <v>41</v>
      </c>
      <c r="L15" s="27">
        <v>0.95</v>
      </c>
      <c r="M15" s="27">
        <f t="shared" ref="M15:N15" si="8">0.95*12*M35</f>
        <v>1678.0799999999997</v>
      </c>
      <c r="N15" s="27">
        <f t="shared" si="8"/>
        <v>1647.2999999999997</v>
      </c>
      <c r="O15" s="27">
        <f t="shared" ref="O15" si="9">0.95*12*O35</f>
        <v>1159.3799999999999</v>
      </c>
      <c r="P15" s="27" t="s">
        <v>41</v>
      </c>
      <c r="Q15" s="28">
        <v>0.95</v>
      </c>
      <c r="R15" s="27">
        <f>0.95*12*R35</f>
        <v>3731.22</v>
      </c>
      <c r="S15" s="27">
        <f t="shared" ref="S15:AA15" si="10">0.95*12*S35</f>
        <v>3850.9199999999996</v>
      </c>
      <c r="T15" s="27">
        <f t="shared" si="10"/>
        <v>1595.9999999999998</v>
      </c>
      <c r="U15" s="27">
        <f t="shared" si="10"/>
        <v>1611.9599999999998</v>
      </c>
      <c r="V15" s="27">
        <f t="shared" si="10"/>
        <v>4377.5999999999995</v>
      </c>
      <c r="W15" s="27">
        <f t="shared" si="10"/>
        <v>5920.0199999999986</v>
      </c>
      <c r="X15" s="27">
        <f t="shared" si="10"/>
        <v>6712.3199999999988</v>
      </c>
      <c r="Y15" s="27">
        <f t="shared" si="10"/>
        <v>1206.1199999999999</v>
      </c>
      <c r="Z15" s="27">
        <f t="shared" si="10"/>
        <v>785.45999999999992</v>
      </c>
      <c r="AA15" s="27">
        <f t="shared" si="10"/>
        <v>1183.3199999999997</v>
      </c>
    </row>
    <row r="16" spans="1:27" s="1" customFormat="1">
      <c r="A16" s="55" t="s">
        <v>31</v>
      </c>
      <c r="B16" s="55"/>
      <c r="C16" s="55"/>
      <c r="D16" s="55"/>
      <c r="E16" s="55"/>
      <c r="F16" s="55"/>
      <c r="G16" s="26" t="s">
        <v>13</v>
      </c>
      <c r="H16" s="27">
        <v>0.41</v>
      </c>
      <c r="I16" s="27">
        <f>0.41*12*I35</f>
        <v>4389.6239999999998</v>
      </c>
      <c r="J16" s="27">
        <f t="shared" ref="J16" si="11">0.41*12*J35</f>
        <v>1620.1559999999999</v>
      </c>
      <c r="K16" s="27" t="s">
        <v>13</v>
      </c>
      <c r="L16" s="27">
        <v>0.89</v>
      </c>
      <c r="M16" s="27">
        <f t="shared" ref="M16:N16" si="12">0.89*12*M35</f>
        <v>1572.0959999999998</v>
      </c>
      <c r="N16" s="27">
        <f t="shared" si="12"/>
        <v>1543.26</v>
      </c>
      <c r="O16" s="27">
        <f t="shared" ref="O16" si="13">0.89*12*O35</f>
        <v>1086.1559999999999</v>
      </c>
      <c r="P16" s="27" t="s">
        <v>13</v>
      </c>
      <c r="Q16" s="28">
        <v>0.89</v>
      </c>
      <c r="R16" s="27">
        <f>0.89*12*R35</f>
        <v>3495.5639999999999</v>
      </c>
      <c r="S16" s="27">
        <f t="shared" ref="S16:AA16" si="14">0.89*12*S35</f>
        <v>3607.7040000000002</v>
      </c>
      <c r="T16" s="27">
        <f t="shared" si="14"/>
        <v>1495.2</v>
      </c>
      <c r="U16" s="27">
        <f t="shared" si="14"/>
        <v>1510.152</v>
      </c>
      <c r="V16" s="27">
        <f t="shared" si="14"/>
        <v>4101.12</v>
      </c>
      <c r="W16" s="27">
        <f t="shared" si="14"/>
        <v>5546.1239999999998</v>
      </c>
      <c r="X16" s="27">
        <f t="shared" si="14"/>
        <v>6288.3839999999991</v>
      </c>
      <c r="Y16" s="27">
        <f t="shared" si="14"/>
        <v>1129.944</v>
      </c>
      <c r="Z16" s="27">
        <f t="shared" si="14"/>
        <v>735.85200000000009</v>
      </c>
      <c r="AA16" s="27">
        <f t="shared" si="14"/>
        <v>1108.5839999999998</v>
      </c>
    </row>
    <row r="17" spans="1:27" s="1" customFormat="1">
      <c r="A17" s="55" t="s">
        <v>32</v>
      </c>
      <c r="B17" s="55"/>
      <c r="C17" s="55"/>
      <c r="D17" s="55"/>
      <c r="E17" s="55"/>
      <c r="F17" s="55"/>
      <c r="G17" s="26" t="s">
        <v>42</v>
      </c>
      <c r="H17" s="27">
        <v>0.32</v>
      </c>
      <c r="I17" s="27">
        <f>0.32*12*I35</f>
        <v>3426.0480000000002</v>
      </c>
      <c r="J17" s="27">
        <f t="shared" ref="J17" si="15">0.32*12*J35</f>
        <v>1264.5119999999999</v>
      </c>
      <c r="K17" s="27" t="s">
        <v>42</v>
      </c>
      <c r="L17" s="27">
        <v>0.38</v>
      </c>
      <c r="M17" s="27">
        <f t="shared" ref="M17:N17" si="16">0.38*12*M35</f>
        <v>671.23199999999997</v>
      </c>
      <c r="N17" s="27">
        <f t="shared" si="16"/>
        <v>658.92000000000007</v>
      </c>
      <c r="O17" s="27">
        <f t="shared" ref="O17" si="17">0.38*12*O35</f>
        <v>463.75200000000007</v>
      </c>
      <c r="P17" s="27" t="s">
        <v>42</v>
      </c>
      <c r="Q17" s="28">
        <v>0.38</v>
      </c>
      <c r="R17" s="27">
        <f>0.38*12*R35</f>
        <v>1492.4880000000003</v>
      </c>
      <c r="S17" s="27">
        <f t="shared" ref="S17:AA17" si="18">0.38*12*S35</f>
        <v>1540.3680000000002</v>
      </c>
      <c r="T17" s="27">
        <f t="shared" si="18"/>
        <v>638.40000000000009</v>
      </c>
      <c r="U17" s="27">
        <f t="shared" si="18"/>
        <v>644.78400000000011</v>
      </c>
      <c r="V17" s="27">
        <f t="shared" si="18"/>
        <v>1751.0400000000002</v>
      </c>
      <c r="W17" s="27">
        <f t="shared" si="18"/>
        <v>2368.0080000000003</v>
      </c>
      <c r="X17" s="27">
        <f t="shared" si="18"/>
        <v>2684.9279999999999</v>
      </c>
      <c r="Y17" s="27">
        <f t="shared" si="18"/>
        <v>482.44800000000004</v>
      </c>
      <c r="Z17" s="27">
        <f t="shared" si="18"/>
        <v>314.18400000000008</v>
      </c>
      <c r="AA17" s="27">
        <f t="shared" si="18"/>
        <v>473.32800000000003</v>
      </c>
    </row>
    <row r="18" spans="1:27" s="1" customFormat="1" ht="50.25" customHeight="1">
      <c r="A18" s="54" t="s">
        <v>33</v>
      </c>
      <c r="B18" s="54"/>
      <c r="C18" s="54"/>
      <c r="D18" s="54"/>
      <c r="E18" s="54"/>
      <c r="F18" s="54"/>
      <c r="G18" s="29" t="s">
        <v>12</v>
      </c>
      <c r="H18" s="27">
        <v>0.17</v>
      </c>
      <c r="I18" s="27">
        <f>0.17*12*I35</f>
        <v>1820.0880000000002</v>
      </c>
      <c r="J18" s="27">
        <f t="shared" ref="J18" si="19">0.17*12*J35</f>
        <v>671.77200000000005</v>
      </c>
      <c r="K18" s="30" t="s">
        <v>12</v>
      </c>
      <c r="L18" s="27">
        <v>0.27</v>
      </c>
      <c r="M18" s="27">
        <f t="shared" ref="M18:N18" si="20">0.27*12*M35</f>
        <v>476.928</v>
      </c>
      <c r="N18" s="27">
        <f t="shared" si="20"/>
        <v>468.18</v>
      </c>
      <c r="O18" s="27">
        <f t="shared" ref="O18" si="21">0.27*12*O35</f>
        <v>329.50800000000004</v>
      </c>
      <c r="P18" s="30" t="s">
        <v>12</v>
      </c>
      <c r="Q18" s="28">
        <v>0.27</v>
      </c>
      <c r="R18" s="27">
        <f>0.27*12*R35</f>
        <v>1060.452</v>
      </c>
      <c r="S18" s="27">
        <f t="shared" ref="S18:AA18" si="22">0.27*12*S35</f>
        <v>1094.4720000000002</v>
      </c>
      <c r="T18" s="27">
        <f t="shared" si="22"/>
        <v>453.6</v>
      </c>
      <c r="U18" s="27">
        <f t="shared" si="22"/>
        <v>458.13600000000002</v>
      </c>
      <c r="V18" s="27">
        <f t="shared" si="22"/>
        <v>1244.1600000000001</v>
      </c>
      <c r="W18" s="27">
        <f t="shared" si="22"/>
        <v>1682.5319999999999</v>
      </c>
      <c r="X18" s="27">
        <f t="shared" si="22"/>
        <v>1907.712</v>
      </c>
      <c r="Y18" s="27">
        <f t="shared" si="22"/>
        <v>342.79200000000003</v>
      </c>
      <c r="Z18" s="27">
        <f t="shared" si="22"/>
        <v>223.23600000000005</v>
      </c>
      <c r="AA18" s="27">
        <f t="shared" si="22"/>
        <v>336.31200000000001</v>
      </c>
    </row>
    <row r="19" spans="1:27" s="1" customFormat="1">
      <c r="A19" s="54" t="s">
        <v>34</v>
      </c>
      <c r="B19" s="55"/>
      <c r="C19" s="55"/>
      <c r="D19" s="55"/>
      <c r="E19" s="55"/>
      <c r="F19" s="55"/>
      <c r="G19" s="26" t="s">
        <v>43</v>
      </c>
      <c r="H19" s="27">
        <v>0.05</v>
      </c>
      <c r="I19" s="27">
        <f>0.05*12*I35</f>
        <v>535.32000000000005</v>
      </c>
      <c r="J19" s="27">
        <f t="shared" ref="J19" si="23">0.05*12*J35</f>
        <v>197.58000000000004</v>
      </c>
      <c r="K19" s="27" t="s">
        <v>43</v>
      </c>
      <c r="L19" s="27">
        <v>0.05</v>
      </c>
      <c r="M19" s="27">
        <f t="shared" ref="M19:N19" si="24">0.05*12*M35</f>
        <v>88.320000000000007</v>
      </c>
      <c r="N19" s="27">
        <f t="shared" si="24"/>
        <v>86.700000000000017</v>
      </c>
      <c r="O19" s="27">
        <f t="shared" ref="O19" si="25">0.05*12*O35</f>
        <v>61.02000000000001</v>
      </c>
      <c r="P19" s="27" t="s">
        <v>43</v>
      </c>
      <c r="Q19" s="28">
        <v>0.05</v>
      </c>
      <c r="R19" s="27">
        <f t="shared" ref="R19:AA19" si="26">0.05*12*R35</f>
        <v>196.38000000000002</v>
      </c>
      <c r="S19" s="27">
        <f t="shared" si="26"/>
        <v>202.68000000000004</v>
      </c>
      <c r="T19" s="27">
        <f t="shared" si="26"/>
        <v>84.000000000000014</v>
      </c>
      <c r="U19" s="27">
        <f t="shared" si="26"/>
        <v>84.840000000000018</v>
      </c>
      <c r="V19" s="27">
        <f t="shared" si="26"/>
        <v>230.40000000000003</v>
      </c>
      <c r="W19" s="27">
        <f t="shared" si="26"/>
        <v>311.58000000000004</v>
      </c>
      <c r="X19" s="27">
        <f t="shared" si="26"/>
        <v>353.28000000000003</v>
      </c>
      <c r="Y19" s="27">
        <f t="shared" si="26"/>
        <v>63.480000000000011</v>
      </c>
      <c r="Z19" s="27">
        <f t="shared" si="26"/>
        <v>41.340000000000011</v>
      </c>
      <c r="AA19" s="27">
        <f t="shared" si="26"/>
        <v>62.280000000000008</v>
      </c>
    </row>
    <row r="20" spans="1:27" s="1" customFormat="1" ht="36">
      <c r="A20" s="55" t="s">
        <v>35</v>
      </c>
      <c r="B20" s="55"/>
      <c r="C20" s="55"/>
      <c r="D20" s="55"/>
      <c r="E20" s="55"/>
      <c r="F20" s="55"/>
      <c r="G20" s="31" t="s">
        <v>49</v>
      </c>
      <c r="H20" s="27">
        <v>2.62</v>
      </c>
      <c r="I20" s="27">
        <f>2.62*12*I35</f>
        <v>28050.768000000004</v>
      </c>
      <c r="J20" s="27">
        <f t="shared" ref="J20" si="27">2.62*12*J35</f>
        <v>10353.192000000001</v>
      </c>
      <c r="K20" s="32" t="s">
        <v>49</v>
      </c>
      <c r="L20" s="27">
        <v>3.89</v>
      </c>
      <c r="M20" s="27">
        <f t="shared" ref="M20:N20" si="28">3.89*12*M35</f>
        <v>6871.2959999999994</v>
      </c>
      <c r="N20" s="27">
        <f t="shared" si="28"/>
        <v>6745.26</v>
      </c>
      <c r="O20" s="27">
        <f t="shared" ref="O20" si="29">3.89*12*O35</f>
        <v>4747.3559999999998</v>
      </c>
      <c r="P20" s="32" t="s">
        <v>49</v>
      </c>
      <c r="Q20" s="28">
        <v>3.89</v>
      </c>
      <c r="R20" s="27">
        <f>3.89*12*R35</f>
        <v>15278.364</v>
      </c>
      <c r="S20" s="27">
        <f t="shared" ref="S20:AA20" si="30">3.89*12*S35</f>
        <v>15768.504000000001</v>
      </c>
      <c r="T20" s="27">
        <f t="shared" si="30"/>
        <v>6535.2</v>
      </c>
      <c r="U20" s="27">
        <f t="shared" si="30"/>
        <v>6600.5520000000006</v>
      </c>
      <c r="V20" s="27">
        <f t="shared" si="30"/>
        <v>17925.12</v>
      </c>
      <c r="W20" s="27">
        <f t="shared" si="30"/>
        <v>24240.923999999999</v>
      </c>
      <c r="X20" s="27">
        <f t="shared" si="30"/>
        <v>27485.183999999997</v>
      </c>
      <c r="Y20" s="27">
        <f t="shared" si="30"/>
        <v>4938.7439999999997</v>
      </c>
      <c r="Z20" s="27">
        <f t="shared" si="30"/>
        <v>3216.2520000000004</v>
      </c>
      <c r="AA20" s="27">
        <f t="shared" si="30"/>
        <v>4845.384</v>
      </c>
    </row>
    <row r="21" spans="1:27" s="1" customFormat="1">
      <c r="A21" s="55" t="s">
        <v>36</v>
      </c>
      <c r="B21" s="55"/>
      <c r="C21" s="55"/>
      <c r="D21" s="55"/>
      <c r="E21" s="55"/>
      <c r="F21" s="55"/>
      <c r="G21" s="26" t="s">
        <v>4</v>
      </c>
      <c r="H21" s="27">
        <v>0</v>
      </c>
      <c r="I21" s="27">
        <f>0*12*I35</f>
        <v>0</v>
      </c>
      <c r="J21" s="27">
        <f t="shared" ref="J21" si="31">0*12*J35</f>
        <v>0</v>
      </c>
      <c r="K21" s="27" t="s">
        <v>4</v>
      </c>
      <c r="L21" s="27">
        <v>4.7</v>
      </c>
      <c r="M21" s="27">
        <f t="shared" ref="M21:N21" si="32">4.7*12*M35</f>
        <v>8302.08</v>
      </c>
      <c r="N21" s="27">
        <f t="shared" si="32"/>
        <v>8149.8000000000011</v>
      </c>
      <c r="O21" s="27">
        <f t="shared" ref="O21" si="33">4.7*12*O35</f>
        <v>5735.880000000001</v>
      </c>
      <c r="P21" s="27" t="s">
        <v>4</v>
      </c>
      <c r="Q21" s="28">
        <v>4.7</v>
      </c>
      <c r="R21" s="27">
        <f>4.7*12*R35</f>
        <v>18459.72</v>
      </c>
      <c r="S21" s="27">
        <f t="shared" ref="S21:AA21" si="34">4.7*12*S35</f>
        <v>19051.920000000002</v>
      </c>
      <c r="T21" s="27">
        <f t="shared" si="34"/>
        <v>7896.0000000000009</v>
      </c>
      <c r="U21" s="27">
        <f t="shared" si="34"/>
        <v>7974.9600000000009</v>
      </c>
      <c r="V21" s="27">
        <f t="shared" si="34"/>
        <v>21657.600000000002</v>
      </c>
      <c r="W21" s="27">
        <f t="shared" si="34"/>
        <v>29288.52</v>
      </c>
      <c r="X21" s="27">
        <f t="shared" si="34"/>
        <v>33208.32</v>
      </c>
      <c r="Y21" s="27">
        <f t="shared" si="34"/>
        <v>5967.1200000000008</v>
      </c>
      <c r="Z21" s="27">
        <f t="shared" si="34"/>
        <v>3885.9600000000005</v>
      </c>
      <c r="AA21" s="27">
        <f t="shared" si="34"/>
        <v>5854.3200000000006</v>
      </c>
    </row>
    <row r="22" spans="1:27" s="1" customFormat="1" ht="13.5" customHeight="1">
      <c r="A22" s="56" t="s">
        <v>10</v>
      </c>
      <c r="B22" s="56"/>
      <c r="C22" s="56"/>
      <c r="D22" s="56"/>
      <c r="E22" s="56"/>
      <c r="F22" s="56"/>
      <c r="G22" s="22"/>
      <c r="H22" s="33">
        <f t="shared" ref="H22" si="35">SUM(H23:H27)</f>
        <v>1.94</v>
      </c>
      <c r="I22" s="33">
        <f t="shared" ref="I22:J22" si="36">SUM(I23:I27)</f>
        <v>20770.416000000001</v>
      </c>
      <c r="J22" s="33">
        <f t="shared" si="36"/>
        <v>7666.1040000000003</v>
      </c>
      <c r="K22" s="24"/>
      <c r="L22" s="33">
        <v>3.23</v>
      </c>
      <c r="M22" s="33">
        <f t="shared" ref="M22:N22" si="37">SUM(M23:M27)</f>
        <v>5705.4719999999998</v>
      </c>
      <c r="N22" s="33">
        <f t="shared" si="37"/>
        <v>5600.82</v>
      </c>
      <c r="O22" s="33">
        <f t="shared" ref="O22" si="38">SUM(O23:O27)</f>
        <v>3941.8919999999998</v>
      </c>
      <c r="P22" s="24"/>
      <c r="Q22" s="34">
        <v>1.61</v>
      </c>
      <c r="R22" s="33">
        <f t="shared" ref="R22:AA22" si="39">SUM(R23:R27)</f>
        <v>6323.4360000000006</v>
      </c>
      <c r="S22" s="33">
        <f t="shared" si="39"/>
        <v>6526.2960000000012</v>
      </c>
      <c r="T22" s="33">
        <f t="shared" si="39"/>
        <v>2704.8</v>
      </c>
      <c r="U22" s="33">
        <f t="shared" si="39"/>
        <v>2731.8480000000004</v>
      </c>
      <c r="V22" s="33">
        <f t="shared" si="39"/>
        <v>7418.8799999999992</v>
      </c>
      <c r="W22" s="33">
        <f t="shared" si="39"/>
        <v>10032.876</v>
      </c>
      <c r="X22" s="33">
        <f t="shared" si="39"/>
        <v>11375.615999999998</v>
      </c>
      <c r="Y22" s="33">
        <f t="shared" si="39"/>
        <v>2044.056</v>
      </c>
      <c r="Z22" s="33">
        <f t="shared" si="39"/>
        <v>1331.1480000000001</v>
      </c>
      <c r="AA22" s="33">
        <f t="shared" si="39"/>
        <v>2005.4160000000002</v>
      </c>
    </row>
    <row r="23" spans="1:27" s="1" customFormat="1">
      <c r="A23" s="54" t="s">
        <v>38</v>
      </c>
      <c r="B23" s="55"/>
      <c r="C23" s="55"/>
      <c r="D23" s="55"/>
      <c r="E23" s="55"/>
      <c r="F23" s="55"/>
      <c r="G23" s="26" t="s">
        <v>4</v>
      </c>
      <c r="H23" s="27">
        <v>1.02</v>
      </c>
      <c r="I23" s="27">
        <f>1.02*12*I35</f>
        <v>10920.528</v>
      </c>
      <c r="J23" s="27">
        <f t="shared" ref="J23" si="40">1.02*12*J35</f>
        <v>4030.6320000000001</v>
      </c>
      <c r="K23" s="27" t="s">
        <v>4</v>
      </c>
      <c r="L23" s="27">
        <v>1.02</v>
      </c>
      <c r="M23" s="27">
        <f t="shared" ref="M23:N23" si="41">1.02*12*M35</f>
        <v>1801.7279999999998</v>
      </c>
      <c r="N23" s="27">
        <f t="shared" si="41"/>
        <v>1768.68</v>
      </c>
      <c r="O23" s="27">
        <f t="shared" ref="O23" si="42">1.02*12*O35</f>
        <v>1244.808</v>
      </c>
      <c r="P23" s="27" t="s">
        <v>4</v>
      </c>
      <c r="Q23" s="28">
        <v>1.02</v>
      </c>
      <c r="R23" s="27">
        <f t="shared" ref="R23:AA23" si="43">1.02*12*R35</f>
        <v>4006.152</v>
      </c>
      <c r="S23" s="27">
        <f t="shared" si="43"/>
        <v>4134.6720000000005</v>
      </c>
      <c r="T23" s="27">
        <f t="shared" si="43"/>
        <v>1713.6000000000001</v>
      </c>
      <c r="U23" s="27">
        <f t="shared" si="43"/>
        <v>1730.7360000000001</v>
      </c>
      <c r="V23" s="27">
        <f t="shared" si="43"/>
        <v>4700.16</v>
      </c>
      <c r="W23" s="27">
        <f t="shared" si="43"/>
        <v>6356.232</v>
      </c>
      <c r="X23" s="27">
        <f t="shared" si="43"/>
        <v>7206.9119999999994</v>
      </c>
      <c r="Y23" s="27">
        <f t="shared" si="43"/>
        <v>1294.992</v>
      </c>
      <c r="Z23" s="27">
        <f t="shared" si="43"/>
        <v>843.33600000000013</v>
      </c>
      <c r="AA23" s="27">
        <f t="shared" si="43"/>
        <v>1270.5119999999999</v>
      </c>
    </row>
    <row r="24" spans="1:27" s="1" customFormat="1" ht="13.5" customHeight="1">
      <c r="A24" s="54" t="s">
        <v>28</v>
      </c>
      <c r="B24" s="55"/>
      <c r="C24" s="55"/>
      <c r="D24" s="55"/>
      <c r="E24" s="55"/>
      <c r="F24" s="55"/>
      <c r="G24" s="26" t="s">
        <v>3</v>
      </c>
      <c r="H24" s="27">
        <v>0</v>
      </c>
      <c r="I24" s="27">
        <f>0*1242*I35</f>
        <v>0</v>
      </c>
      <c r="J24" s="27">
        <f t="shared" ref="J24" si="44">0*1242*J35</f>
        <v>0</v>
      </c>
      <c r="K24" s="27" t="s">
        <v>3</v>
      </c>
      <c r="L24" s="27">
        <v>0</v>
      </c>
      <c r="M24" s="27">
        <f t="shared" ref="M24:N24" si="45">0*12*M35</f>
        <v>0</v>
      </c>
      <c r="N24" s="27">
        <f t="shared" si="45"/>
        <v>0</v>
      </c>
      <c r="O24" s="27">
        <f t="shared" ref="O24" si="46">0*12*O35</f>
        <v>0</v>
      </c>
      <c r="P24" s="27" t="s">
        <v>3</v>
      </c>
      <c r="Q24" s="28">
        <v>0</v>
      </c>
      <c r="R24" s="27">
        <f>0*12*R35</f>
        <v>0</v>
      </c>
      <c r="S24" s="27">
        <f t="shared" ref="S24:AA24" si="47">0*12*S35</f>
        <v>0</v>
      </c>
      <c r="T24" s="27">
        <f t="shared" si="47"/>
        <v>0</v>
      </c>
      <c r="U24" s="27">
        <f t="shared" si="47"/>
        <v>0</v>
      </c>
      <c r="V24" s="27">
        <f t="shared" si="47"/>
        <v>0</v>
      </c>
      <c r="W24" s="27">
        <f t="shared" si="47"/>
        <v>0</v>
      </c>
      <c r="X24" s="27">
        <f t="shared" si="47"/>
        <v>0</v>
      </c>
      <c r="Y24" s="27">
        <f t="shared" si="47"/>
        <v>0</v>
      </c>
      <c r="Z24" s="27">
        <f t="shared" si="47"/>
        <v>0</v>
      </c>
      <c r="AA24" s="27">
        <f t="shared" si="47"/>
        <v>0</v>
      </c>
    </row>
    <row r="25" spans="1:27" s="1" customFormat="1" ht="25.5" customHeight="1">
      <c r="A25" s="54" t="s">
        <v>29</v>
      </c>
      <c r="B25" s="54"/>
      <c r="C25" s="54"/>
      <c r="D25" s="54"/>
      <c r="E25" s="54"/>
      <c r="F25" s="54"/>
      <c r="G25" s="26" t="s">
        <v>8</v>
      </c>
      <c r="H25" s="27">
        <v>0</v>
      </c>
      <c r="I25" s="27">
        <f>0*12*I35</f>
        <v>0</v>
      </c>
      <c r="J25" s="27">
        <f t="shared" ref="J25" si="48">0*12*J35</f>
        <v>0</v>
      </c>
      <c r="K25" s="27" t="s">
        <v>8</v>
      </c>
      <c r="L25" s="27">
        <v>0</v>
      </c>
      <c r="M25" s="27">
        <f t="shared" ref="M25:N25" si="49">0*12*M35</f>
        <v>0</v>
      </c>
      <c r="N25" s="27">
        <f t="shared" si="49"/>
        <v>0</v>
      </c>
      <c r="O25" s="27">
        <f t="shared" ref="O25" si="50">0*12*O35</f>
        <v>0</v>
      </c>
      <c r="P25" s="27" t="s">
        <v>8</v>
      </c>
      <c r="Q25" s="28">
        <v>0</v>
      </c>
      <c r="R25" s="27">
        <f t="shared" ref="R25:AA25" si="51">0*12*R35</f>
        <v>0</v>
      </c>
      <c r="S25" s="27">
        <f t="shared" si="51"/>
        <v>0</v>
      </c>
      <c r="T25" s="27">
        <f t="shared" si="51"/>
        <v>0</v>
      </c>
      <c r="U25" s="27">
        <f t="shared" si="51"/>
        <v>0</v>
      </c>
      <c r="V25" s="27">
        <f t="shared" si="51"/>
        <v>0</v>
      </c>
      <c r="W25" s="27">
        <f t="shared" si="51"/>
        <v>0</v>
      </c>
      <c r="X25" s="27">
        <f t="shared" si="51"/>
        <v>0</v>
      </c>
      <c r="Y25" s="27">
        <f t="shared" si="51"/>
        <v>0</v>
      </c>
      <c r="Z25" s="27">
        <f t="shared" si="51"/>
        <v>0</v>
      </c>
      <c r="AA25" s="27">
        <f t="shared" si="51"/>
        <v>0</v>
      </c>
    </row>
    <row r="26" spans="1:27" s="1" customFormat="1" ht="39.75" customHeight="1">
      <c r="A26" s="54" t="s">
        <v>30</v>
      </c>
      <c r="B26" s="54"/>
      <c r="C26" s="54"/>
      <c r="D26" s="54"/>
      <c r="E26" s="54"/>
      <c r="F26" s="54"/>
      <c r="G26" s="29" t="s">
        <v>9</v>
      </c>
      <c r="H26" s="27">
        <f>0.03+0.01</f>
        <v>0.04</v>
      </c>
      <c r="I26" s="27">
        <f>0.04*12*I35</f>
        <v>428.25600000000003</v>
      </c>
      <c r="J26" s="27">
        <f t="shared" ref="J26" si="52">0.04*12*J35</f>
        <v>158.06399999999999</v>
      </c>
      <c r="K26" s="30" t="s">
        <v>9</v>
      </c>
      <c r="L26" s="27">
        <v>0.04</v>
      </c>
      <c r="M26" s="27">
        <f t="shared" ref="M26:N26" si="53">0.04*12*M35</f>
        <v>70.655999999999992</v>
      </c>
      <c r="N26" s="27">
        <f t="shared" si="53"/>
        <v>69.36</v>
      </c>
      <c r="O26" s="27">
        <f t="shared" ref="O26" si="54">0.04*12*O35</f>
        <v>48.816000000000003</v>
      </c>
      <c r="P26" s="30" t="s">
        <v>9</v>
      </c>
      <c r="Q26" s="28">
        <v>0.04</v>
      </c>
      <c r="R26" s="27">
        <f t="shared" ref="R26:AA26" si="55">0.04*12*R35</f>
        <v>157.10400000000001</v>
      </c>
      <c r="S26" s="27">
        <f t="shared" si="55"/>
        <v>162.14400000000001</v>
      </c>
      <c r="T26" s="27">
        <f t="shared" si="55"/>
        <v>67.2</v>
      </c>
      <c r="U26" s="27">
        <f t="shared" si="55"/>
        <v>67.872</v>
      </c>
      <c r="V26" s="27">
        <f t="shared" si="55"/>
        <v>184.32</v>
      </c>
      <c r="W26" s="27">
        <f t="shared" si="55"/>
        <v>249.26399999999998</v>
      </c>
      <c r="X26" s="27">
        <f t="shared" si="55"/>
        <v>282.62399999999997</v>
      </c>
      <c r="Y26" s="27">
        <f t="shared" si="55"/>
        <v>50.783999999999999</v>
      </c>
      <c r="Z26" s="27">
        <f t="shared" si="55"/>
        <v>33.072000000000003</v>
      </c>
      <c r="AA26" s="27">
        <f t="shared" si="55"/>
        <v>49.823999999999998</v>
      </c>
    </row>
    <row r="27" spans="1:27" s="1" customFormat="1" ht="85.5" customHeight="1">
      <c r="A27" s="54" t="s">
        <v>48</v>
      </c>
      <c r="B27" s="54"/>
      <c r="C27" s="54"/>
      <c r="D27" s="54"/>
      <c r="E27" s="54"/>
      <c r="F27" s="54"/>
      <c r="G27" s="26" t="s">
        <v>8</v>
      </c>
      <c r="H27" s="27">
        <f>0.32+0.18+0.38</f>
        <v>0.88</v>
      </c>
      <c r="I27" s="27">
        <f>0.88*12*I35</f>
        <v>9421.6320000000014</v>
      </c>
      <c r="J27" s="27">
        <f t="shared" ref="J27" si="56">0.88*12*J35</f>
        <v>3477.4080000000004</v>
      </c>
      <c r="K27" s="27" t="s">
        <v>8</v>
      </c>
      <c r="L27" s="27">
        <v>2.17</v>
      </c>
      <c r="M27" s="27">
        <f t="shared" ref="M27:N27" si="57">2.17*12*M35</f>
        <v>3833.0879999999997</v>
      </c>
      <c r="N27" s="27">
        <f t="shared" si="57"/>
        <v>3762.7799999999997</v>
      </c>
      <c r="O27" s="27">
        <f t="shared" ref="O27" si="58">2.17*12*O35</f>
        <v>2648.268</v>
      </c>
      <c r="P27" s="27" t="s">
        <v>8</v>
      </c>
      <c r="Q27" s="28">
        <v>0.55000000000000004</v>
      </c>
      <c r="R27" s="27">
        <f>0.55*12*R35</f>
        <v>2160.1800000000003</v>
      </c>
      <c r="S27" s="27">
        <f t="shared" ref="S27:AA27" si="59">0.55*12*S35</f>
        <v>2229.4800000000005</v>
      </c>
      <c r="T27" s="27">
        <f t="shared" si="59"/>
        <v>924.00000000000011</v>
      </c>
      <c r="U27" s="27">
        <f t="shared" si="59"/>
        <v>933.24000000000012</v>
      </c>
      <c r="V27" s="27">
        <f t="shared" si="59"/>
        <v>2534.4</v>
      </c>
      <c r="W27" s="27">
        <f t="shared" si="59"/>
        <v>3427.38</v>
      </c>
      <c r="X27" s="27">
        <f t="shared" si="59"/>
        <v>3886.08</v>
      </c>
      <c r="Y27" s="27">
        <f t="shared" si="59"/>
        <v>698.28000000000009</v>
      </c>
      <c r="Z27" s="27">
        <f t="shared" si="59"/>
        <v>454.74000000000007</v>
      </c>
      <c r="AA27" s="27">
        <f t="shared" si="59"/>
        <v>685.08</v>
      </c>
    </row>
    <row r="28" spans="1:27" s="1" customFormat="1">
      <c r="A28" s="53" t="s">
        <v>7</v>
      </c>
      <c r="B28" s="53"/>
      <c r="C28" s="53"/>
      <c r="D28" s="53"/>
      <c r="E28" s="53"/>
      <c r="F28" s="53"/>
      <c r="G28" s="22"/>
      <c r="H28" s="33">
        <f t="shared" ref="H28" si="60">SUM(H29:H33)</f>
        <v>11.659999999999997</v>
      </c>
      <c r="I28" s="33">
        <f t="shared" ref="I28:J28" si="61">SUM(I29:I33)</f>
        <v>124836.62399999998</v>
      </c>
      <c r="J28" s="33">
        <f t="shared" si="61"/>
        <v>46075.655999999995</v>
      </c>
      <c r="K28" s="24"/>
      <c r="L28" s="33">
        <v>7.3299999999999992</v>
      </c>
      <c r="M28" s="33">
        <f t="shared" ref="M28:N28" si="62">SUM(M29:M33)</f>
        <v>12947.712</v>
      </c>
      <c r="N28" s="33">
        <f t="shared" si="62"/>
        <v>12710.220000000001</v>
      </c>
      <c r="O28" s="33">
        <f t="shared" ref="O28" si="63">SUM(O29:O33)</f>
        <v>8945.5320000000011</v>
      </c>
      <c r="P28" s="24"/>
      <c r="Q28" s="34">
        <v>3.9100000000000006</v>
      </c>
      <c r="R28" s="33">
        <f t="shared" ref="R28:AA28" si="64">SUM(R29:R33)</f>
        <v>15356.916000000001</v>
      </c>
      <c r="S28" s="33">
        <f t="shared" si="64"/>
        <v>15849.575999999999</v>
      </c>
      <c r="T28" s="33">
        <f t="shared" si="64"/>
        <v>6568.8000000000011</v>
      </c>
      <c r="U28" s="33">
        <f t="shared" si="64"/>
        <v>6634.4880000000003</v>
      </c>
      <c r="V28" s="33">
        <f t="shared" si="64"/>
        <v>18017.28</v>
      </c>
      <c r="W28" s="33">
        <f t="shared" si="64"/>
        <v>24365.555999999997</v>
      </c>
      <c r="X28" s="33">
        <f t="shared" si="64"/>
        <v>27626.495999999999</v>
      </c>
      <c r="Y28" s="33">
        <f t="shared" si="64"/>
        <v>4964.1360000000004</v>
      </c>
      <c r="Z28" s="33">
        <f t="shared" si="64"/>
        <v>3232.7880000000005</v>
      </c>
      <c r="AA28" s="33">
        <f t="shared" si="64"/>
        <v>4870.2959999999994</v>
      </c>
    </row>
    <row r="29" spans="1:27" s="1" customFormat="1" ht="193.5" customHeight="1">
      <c r="A29" s="54" t="s">
        <v>39</v>
      </c>
      <c r="B29" s="54"/>
      <c r="C29" s="54"/>
      <c r="D29" s="54"/>
      <c r="E29" s="54"/>
      <c r="F29" s="54"/>
      <c r="G29" s="29" t="s">
        <v>44</v>
      </c>
      <c r="H29" s="27">
        <f>0.49+0.35+2.46+2.46+0.81+0.1+0.13+0.14+0.1+0.03+0.02+0.04+0.01</f>
        <v>7.1399999999999988</v>
      </c>
      <c r="I29" s="27">
        <f>7.14*12*I35</f>
        <v>76443.695999999996</v>
      </c>
      <c r="J29" s="27">
        <f t="shared" ref="J29" si="65">7.14*12*J35</f>
        <v>28214.423999999999</v>
      </c>
      <c r="K29" s="30" t="s">
        <v>44</v>
      </c>
      <c r="L29" s="27">
        <v>1.57</v>
      </c>
      <c r="M29" s="27">
        <f t="shared" ref="M29:N29" si="66">1.57*12*M35</f>
        <v>2773.2479999999996</v>
      </c>
      <c r="N29" s="27">
        <f t="shared" si="66"/>
        <v>2722.38</v>
      </c>
      <c r="O29" s="27">
        <f t="shared" ref="O29" si="67">1.57*12*O35</f>
        <v>1916.028</v>
      </c>
      <c r="P29" s="30" t="s">
        <v>44</v>
      </c>
      <c r="Q29" s="28">
        <v>1.1300000000000001</v>
      </c>
      <c r="R29" s="27">
        <f>1.13*12*R35</f>
        <v>4438.1880000000001</v>
      </c>
      <c r="S29" s="27">
        <f t="shared" ref="S29:AA29" si="68">1.13*12*S35</f>
        <v>4580.5679999999993</v>
      </c>
      <c r="T29" s="27">
        <f t="shared" si="68"/>
        <v>1898.3999999999999</v>
      </c>
      <c r="U29" s="27">
        <f t="shared" si="68"/>
        <v>1917.3839999999998</v>
      </c>
      <c r="V29" s="27">
        <f t="shared" si="68"/>
        <v>5207.0399999999991</v>
      </c>
      <c r="W29" s="27">
        <f t="shared" si="68"/>
        <v>7041.7079999999987</v>
      </c>
      <c r="X29" s="27">
        <f t="shared" si="68"/>
        <v>7984.1279999999988</v>
      </c>
      <c r="Y29" s="27">
        <f t="shared" si="68"/>
        <v>1434.6479999999999</v>
      </c>
      <c r="Z29" s="27">
        <f t="shared" si="68"/>
        <v>934.28399999999999</v>
      </c>
      <c r="AA29" s="27">
        <f t="shared" si="68"/>
        <v>1407.5279999999998</v>
      </c>
    </row>
    <row r="30" spans="1:27" s="1" customFormat="1" ht="87" customHeight="1">
      <c r="A30" s="55" t="s">
        <v>6</v>
      </c>
      <c r="B30" s="55"/>
      <c r="C30" s="55"/>
      <c r="D30" s="55"/>
      <c r="E30" s="55"/>
      <c r="F30" s="55"/>
      <c r="G30" s="29" t="s">
        <v>5</v>
      </c>
      <c r="H30" s="27">
        <v>1.4</v>
      </c>
      <c r="I30" s="27">
        <f>1.4*12*I35</f>
        <v>14988.96</v>
      </c>
      <c r="J30" s="27">
        <f t="shared" ref="J30" si="69">1.4*12*J35</f>
        <v>5532.2399999999989</v>
      </c>
      <c r="K30" s="30" t="s">
        <v>5</v>
      </c>
      <c r="L30" s="27">
        <v>1.85</v>
      </c>
      <c r="M30" s="27">
        <f t="shared" ref="M30:N30" si="70">1.85*12*M35</f>
        <v>3267.84</v>
      </c>
      <c r="N30" s="27">
        <f t="shared" si="70"/>
        <v>3207.9000000000005</v>
      </c>
      <c r="O30" s="27">
        <f t="shared" ref="O30" si="71">1.85*12*O35</f>
        <v>2257.7400000000002</v>
      </c>
      <c r="P30" s="30" t="s">
        <v>5</v>
      </c>
      <c r="Q30" s="28">
        <v>1.85</v>
      </c>
      <c r="R30" s="27">
        <f>1.85*12*R35</f>
        <v>7266.0600000000013</v>
      </c>
      <c r="S30" s="27">
        <f t="shared" ref="S30:AA30" si="72">1.85*12*S35</f>
        <v>7499.1600000000008</v>
      </c>
      <c r="T30" s="27">
        <f t="shared" si="72"/>
        <v>3108.0000000000005</v>
      </c>
      <c r="U30" s="27">
        <f t="shared" si="72"/>
        <v>3139.0800000000004</v>
      </c>
      <c r="V30" s="27">
        <f t="shared" si="72"/>
        <v>8524.8000000000011</v>
      </c>
      <c r="W30" s="27">
        <f t="shared" si="72"/>
        <v>11528.460000000001</v>
      </c>
      <c r="X30" s="27">
        <f t="shared" si="72"/>
        <v>13071.36</v>
      </c>
      <c r="Y30" s="27">
        <f t="shared" si="72"/>
        <v>2348.7600000000002</v>
      </c>
      <c r="Z30" s="27">
        <f t="shared" si="72"/>
        <v>1529.5800000000004</v>
      </c>
      <c r="AA30" s="27">
        <f t="shared" si="72"/>
        <v>2304.36</v>
      </c>
    </row>
    <row r="31" spans="1:27" s="1" customFormat="1" ht="24">
      <c r="A31" s="55" t="s">
        <v>37</v>
      </c>
      <c r="B31" s="55"/>
      <c r="C31" s="55"/>
      <c r="D31" s="55"/>
      <c r="E31" s="55"/>
      <c r="F31" s="55"/>
      <c r="G31" s="31" t="s">
        <v>45</v>
      </c>
      <c r="H31" s="27">
        <f>0.51+0.3+0.22+0.12+0.17+0.22</f>
        <v>1.5399999999999998</v>
      </c>
      <c r="I31" s="27">
        <f>1.54*12*I35</f>
        <v>16487.856</v>
      </c>
      <c r="J31" s="27">
        <f t="shared" ref="J31" si="73">1.54*12*J35</f>
        <v>6085.4639999999999</v>
      </c>
      <c r="K31" s="32" t="s">
        <v>45</v>
      </c>
      <c r="L31" s="27">
        <v>2.1199999999999997</v>
      </c>
      <c r="M31" s="27">
        <f t="shared" ref="M31:N31" si="74">2.12*12*M35</f>
        <v>3744.768</v>
      </c>
      <c r="N31" s="27">
        <f t="shared" si="74"/>
        <v>3676.0800000000004</v>
      </c>
      <c r="O31" s="27">
        <f t="shared" ref="O31" si="75">2.12*12*O35</f>
        <v>2587.248</v>
      </c>
      <c r="P31" s="32" t="s">
        <v>45</v>
      </c>
      <c r="Q31" s="28">
        <v>0</v>
      </c>
      <c r="R31" s="27">
        <f>0*12*R35</f>
        <v>0</v>
      </c>
      <c r="S31" s="27">
        <f t="shared" ref="S31:AA31" si="76">0*12*S35</f>
        <v>0</v>
      </c>
      <c r="T31" s="27">
        <f t="shared" si="76"/>
        <v>0</v>
      </c>
      <c r="U31" s="27">
        <f t="shared" si="76"/>
        <v>0</v>
      </c>
      <c r="V31" s="27">
        <f t="shared" si="76"/>
        <v>0</v>
      </c>
      <c r="W31" s="27">
        <f t="shared" si="76"/>
        <v>0</v>
      </c>
      <c r="X31" s="27">
        <f t="shared" si="76"/>
        <v>0</v>
      </c>
      <c r="Y31" s="27">
        <f t="shared" si="76"/>
        <v>0</v>
      </c>
      <c r="Z31" s="27">
        <f t="shared" si="76"/>
        <v>0</v>
      </c>
      <c r="AA31" s="27">
        <f t="shared" si="76"/>
        <v>0</v>
      </c>
    </row>
    <row r="32" spans="1:27" s="1" customFormat="1">
      <c r="A32" s="55" t="s">
        <v>51</v>
      </c>
      <c r="B32" s="55"/>
      <c r="C32" s="55"/>
      <c r="D32" s="55"/>
      <c r="E32" s="55"/>
      <c r="F32" s="55"/>
      <c r="G32" s="26" t="s">
        <v>4</v>
      </c>
      <c r="H32" s="27">
        <v>0.87</v>
      </c>
      <c r="I32" s="27">
        <f>0.87*12*I35</f>
        <v>9314.5679999999993</v>
      </c>
      <c r="J32" s="27">
        <f t="shared" ref="J32" si="77">0.87*12*J35</f>
        <v>3437.8919999999998</v>
      </c>
      <c r="K32" s="27" t="s">
        <v>4</v>
      </c>
      <c r="L32" s="27">
        <v>1.36</v>
      </c>
      <c r="M32" s="27">
        <f t="shared" ref="M32:N32" si="78">1.36*12*M35</f>
        <v>2402.3039999999996</v>
      </c>
      <c r="N32" s="27">
        <f t="shared" si="78"/>
        <v>2358.2400000000002</v>
      </c>
      <c r="O32" s="27">
        <f t="shared" ref="O32" si="79">1.36*12*O35</f>
        <v>1659.7440000000001</v>
      </c>
      <c r="P32" s="27" t="s">
        <v>4</v>
      </c>
      <c r="Q32" s="28">
        <v>0.68</v>
      </c>
      <c r="R32" s="27">
        <f>0.68*12*R35</f>
        <v>2670.768</v>
      </c>
      <c r="S32" s="27">
        <f t="shared" ref="S32:AA32" si="80">0.68*12*S35</f>
        <v>2756.4480000000003</v>
      </c>
      <c r="T32" s="27">
        <f t="shared" si="80"/>
        <v>1142.4000000000001</v>
      </c>
      <c r="U32" s="27">
        <f t="shared" si="80"/>
        <v>1153.8240000000001</v>
      </c>
      <c r="V32" s="27">
        <f t="shared" si="80"/>
        <v>3133.44</v>
      </c>
      <c r="W32" s="27">
        <f t="shared" si="80"/>
        <v>4237.4879999999994</v>
      </c>
      <c r="X32" s="27">
        <f t="shared" si="80"/>
        <v>4804.6079999999993</v>
      </c>
      <c r="Y32" s="27">
        <f t="shared" si="80"/>
        <v>863.32799999999997</v>
      </c>
      <c r="Z32" s="27">
        <f t="shared" si="80"/>
        <v>562.22400000000005</v>
      </c>
      <c r="AA32" s="27">
        <f t="shared" si="80"/>
        <v>847.00800000000004</v>
      </c>
    </row>
    <row r="33" spans="1:41" s="1" customFormat="1">
      <c r="A33" s="55" t="s">
        <v>52</v>
      </c>
      <c r="B33" s="55"/>
      <c r="C33" s="55"/>
      <c r="D33" s="55"/>
      <c r="E33" s="55"/>
      <c r="F33" s="55"/>
      <c r="G33" s="26" t="s">
        <v>8</v>
      </c>
      <c r="H33" s="27">
        <v>0.71</v>
      </c>
      <c r="I33" s="27">
        <f>0.71*12*I35</f>
        <v>7601.5439999999999</v>
      </c>
      <c r="J33" s="27">
        <f t="shared" ref="J33" si="81">0.71*12*J35</f>
        <v>2805.636</v>
      </c>
      <c r="K33" s="27" t="s">
        <v>8</v>
      </c>
      <c r="L33" s="27">
        <v>0.43</v>
      </c>
      <c r="M33" s="27">
        <f t="shared" ref="M33:N33" si="82">0.43*12*M35</f>
        <v>759.55199999999991</v>
      </c>
      <c r="N33" s="27">
        <f t="shared" si="82"/>
        <v>745.62</v>
      </c>
      <c r="O33" s="27">
        <f t="shared" ref="O33" si="83">0.43*12*O35</f>
        <v>524.77200000000005</v>
      </c>
      <c r="P33" s="27" t="s">
        <v>8</v>
      </c>
      <c r="Q33" s="28">
        <v>0.25</v>
      </c>
      <c r="R33" s="27">
        <f>0.25*12*R35</f>
        <v>981.90000000000009</v>
      </c>
      <c r="S33" s="27">
        <f t="shared" ref="S33:AA33" si="84">0.25*12*S35</f>
        <v>1013.4000000000001</v>
      </c>
      <c r="T33" s="27">
        <f t="shared" si="84"/>
        <v>420</v>
      </c>
      <c r="U33" s="27">
        <f t="shared" si="84"/>
        <v>424.20000000000005</v>
      </c>
      <c r="V33" s="27">
        <f t="shared" si="84"/>
        <v>1152</v>
      </c>
      <c r="W33" s="27">
        <f t="shared" si="84"/>
        <v>1557.8999999999999</v>
      </c>
      <c r="X33" s="27">
        <f t="shared" si="84"/>
        <v>1766.3999999999999</v>
      </c>
      <c r="Y33" s="27">
        <f t="shared" si="84"/>
        <v>317.39999999999998</v>
      </c>
      <c r="Z33" s="27">
        <f t="shared" si="84"/>
        <v>206.70000000000002</v>
      </c>
      <c r="AA33" s="27">
        <f t="shared" si="84"/>
        <v>311.39999999999998</v>
      </c>
    </row>
    <row r="34" spans="1:41" s="1" customFormat="1">
      <c r="A34" s="51" t="s">
        <v>2</v>
      </c>
      <c r="B34" s="51"/>
      <c r="C34" s="51"/>
      <c r="D34" s="51"/>
      <c r="E34" s="51"/>
      <c r="F34" s="51"/>
      <c r="G34" s="35"/>
      <c r="H34" s="36"/>
      <c r="I34" s="37">
        <f>I14+I22+I28</f>
        <v>195391.8</v>
      </c>
      <c r="J34" s="37">
        <f t="shared" ref="J34" si="85">J14+J22+J28</f>
        <v>72116.7</v>
      </c>
      <c r="K34" s="36"/>
      <c r="L34" s="27"/>
      <c r="M34" s="37">
        <f t="shared" ref="M34:N34" si="86">M14+M22+M28</f>
        <v>38313.216</v>
      </c>
      <c r="N34" s="37">
        <f t="shared" si="86"/>
        <v>37610.46</v>
      </c>
      <c r="O34" s="37">
        <f t="shared" ref="O34" si="87">O14+O22+O28</f>
        <v>26470.476000000002</v>
      </c>
      <c r="P34" s="36"/>
      <c r="Q34" s="28"/>
      <c r="R34" s="37">
        <f>R14+R22+R28</f>
        <v>65394.540000000008</v>
      </c>
      <c r="S34" s="37">
        <f t="shared" ref="S34:AA34" si="88">S14+S22+S28</f>
        <v>67492.44</v>
      </c>
      <c r="T34" s="37">
        <f t="shared" si="88"/>
        <v>27972</v>
      </c>
      <c r="U34" s="37">
        <f t="shared" si="88"/>
        <v>28251.720000000005</v>
      </c>
      <c r="V34" s="37">
        <f t="shared" si="88"/>
        <v>76723.199999999997</v>
      </c>
      <c r="W34" s="37">
        <f t="shared" si="88"/>
        <v>103756.14</v>
      </c>
      <c r="X34" s="37">
        <f t="shared" si="88"/>
        <v>117642.23999999999</v>
      </c>
      <c r="Y34" s="37">
        <f t="shared" si="88"/>
        <v>21138.840000000004</v>
      </c>
      <c r="Z34" s="37">
        <f t="shared" si="88"/>
        <v>13766.220000000001</v>
      </c>
      <c r="AA34" s="37">
        <f t="shared" si="88"/>
        <v>20739.239999999998</v>
      </c>
      <c r="AB34" s="17">
        <f>SUM(I34:AA34)</f>
        <v>912779.23199999984</v>
      </c>
      <c r="AC34" s="17">
        <f>AB34/12*0.05</f>
        <v>3803.2467999999994</v>
      </c>
    </row>
    <row r="35" spans="1:41" s="16" customFormat="1">
      <c r="A35" s="62" t="s">
        <v>1</v>
      </c>
      <c r="B35" s="62"/>
      <c r="C35" s="62"/>
      <c r="D35" s="62"/>
      <c r="E35" s="62"/>
      <c r="F35" s="62"/>
      <c r="G35" s="63"/>
      <c r="H35" s="64"/>
      <c r="I35" s="65" t="s">
        <v>75</v>
      </c>
      <c r="J35" s="65" t="s">
        <v>76</v>
      </c>
      <c r="K35" s="66"/>
      <c r="L35" s="64"/>
      <c r="M35" s="65" t="s">
        <v>77</v>
      </c>
      <c r="N35" s="65" t="s">
        <v>78</v>
      </c>
      <c r="O35" s="67">
        <v>101.7</v>
      </c>
      <c r="P35" s="66"/>
      <c r="Q35" s="68"/>
      <c r="R35" s="65" t="s">
        <v>79</v>
      </c>
      <c r="S35" s="65" t="s">
        <v>80</v>
      </c>
      <c r="T35" s="65" t="s">
        <v>81</v>
      </c>
      <c r="U35" s="65" t="s">
        <v>82</v>
      </c>
      <c r="V35" s="65" t="s">
        <v>83</v>
      </c>
      <c r="W35" s="65" t="s">
        <v>84</v>
      </c>
      <c r="X35" s="65" t="s">
        <v>85</v>
      </c>
      <c r="Y35" s="65" t="s">
        <v>86</v>
      </c>
      <c r="Z35" s="65" t="s">
        <v>87</v>
      </c>
      <c r="AA35" s="65" t="s">
        <v>88</v>
      </c>
    </row>
    <row r="36" spans="1:41" s="2" customFormat="1" ht="25.5" customHeight="1">
      <c r="A36" s="52" t="s">
        <v>50</v>
      </c>
      <c r="B36" s="52"/>
      <c r="C36" s="52"/>
      <c r="D36" s="52"/>
      <c r="E36" s="52"/>
      <c r="F36" s="52"/>
      <c r="G36" s="39"/>
      <c r="H36" s="37">
        <f>H14+H22+H28</f>
        <v>18.249999999999996</v>
      </c>
      <c r="I36" s="37">
        <f>I34 /12/I35</f>
        <v>18.25</v>
      </c>
      <c r="J36" s="37">
        <f t="shared" ref="J36" si="89">J34 /12/J35</f>
        <v>18.249999999999996</v>
      </c>
      <c r="K36" s="37"/>
      <c r="L36" s="37">
        <v>21.689999999999998</v>
      </c>
      <c r="M36" s="37">
        <f t="shared" ref="M36:N36" si="90">M34/12/M35</f>
        <v>21.69</v>
      </c>
      <c r="N36" s="37">
        <f t="shared" si="90"/>
        <v>21.689999999999998</v>
      </c>
      <c r="O36" s="37">
        <f t="shared" ref="O36" si="91">O34/12/O35</f>
        <v>21.69</v>
      </c>
      <c r="P36" s="37"/>
      <c r="Q36" s="38">
        <v>16.649999999999999</v>
      </c>
      <c r="R36" s="37">
        <f>R34/12/R35</f>
        <v>16.650000000000002</v>
      </c>
      <c r="S36" s="37">
        <f t="shared" ref="S36:AA36" si="92">S34/12/S35</f>
        <v>16.649999999999999</v>
      </c>
      <c r="T36" s="37">
        <f t="shared" si="92"/>
        <v>16.649999999999999</v>
      </c>
      <c r="U36" s="37">
        <f t="shared" si="92"/>
        <v>16.650000000000002</v>
      </c>
      <c r="V36" s="37">
        <f t="shared" si="92"/>
        <v>16.649999999999999</v>
      </c>
      <c r="W36" s="37">
        <f t="shared" si="92"/>
        <v>16.649999999999999</v>
      </c>
      <c r="X36" s="37">
        <f t="shared" si="92"/>
        <v>16.649999999999999</v>
      </c>
      <c r="Y36" s="37">
        <f t="shared" si="92"/>
        <v>16.650000000000006</v>
      </c>
      <c r="Z36" s="37">
        <f t="shared" si="92"/>
        <v>16.650000000000002</v>
      </c>
      <c r="AA36" s="37">
        <f t="shared" si="92"/>
        <v>16.649999999999999</v>
      </c>
    </row>
    <row r="37" spans="1:41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K37" s="6"/>
      <c r="L37" s="7"/>
      <c r="M37" s="7"/>
      <c r="N37" s="7"/>
      <c r="O37" s="9"/>
      <c r="P37" s="6"/>
      <c r="R37" s="18"/>
      <c r="S37" s="18"/>
      <c r="T37" s="18"/>
      <c r="U37" s="18"/>
      <c r="V37" s="18"/>
      <c r="W37" s="18"/>
      <c r="X37" s="18"/>
      <c r="Y37" s="18"/>
      <c r="Z37" s="8"/>
      <c r="AA37" s="18"/>
    </row>
    <row r="38" spans="1:41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7"/>
      <c r="K38" s="6"/>
      <c r="L38" s="7"/>
      <c r="M38" s="7"/>
      <c r="N38" s="7"/>
      <c r="O38" s="9"/>
      <c r="P38" s="6"/>
      <c r="R38" s="18"/>
      <c r="S38" s="18"/>
      <c r="T38" s="18"/>
      <c r="U38" s="18"/>
      <c r="V38" s="18"/>
      <c r="W38" s="18"/>
      <c r="X38" s="18"/>
      <c r="Y38" s="18"/>
      <c r="Z38" s="8"/>
      <c r="AA38" s="18"/>
    </row>
    <row r="39" spans="1:41" s="1" customFormat="1">
      <c r="A39" s="6"/>
      <c r="B39" s="6"/>
      <c r="C39" s="6"/>
      <c r="D39" s="6"/>
      <c r="E39" s="6"/>
      <c r="F39" s="6"/>
      <c r="G39" s="6"/>
      <c r="H39" s="7"/>
      <c r="I39" s="7"/>
      <c r="J39" s="7"/>
      <c r="K39" s="6"/>
      <c r="L39" s="7"/>
      <c r="M39" s="7"/>
      <c r="N39" s="7"/>
      <c r="O39" s="9"/>
      <c r="P39" s="6"/>
      <c r="R39" s="18"/>
      <c r="S39" s="18"/>
      <c r="T39" s="18"/>
      <c r="U39" s="18"/>
      <c r="V39" s="18"/>
      <c r="W39" s="18"/>
      <c r="X39" s="18"/>
      <c r="Y39" s="18"/>
      <c r="Z39" s="6"/>
      <c r="AA39" s="18"/>
      <c r="AN39"/>
      <c r="AO39"/>
    </row>
    <row r="40" spans="1:41" s="1" customFormat="1">
      <c r="A40" s="6"/>
      <c r="B40" s="6"/>
      <c r="C40" s="6"/>
      <c r="D40" s="6"/>
      <c r="E40" s="6"/>
      <c r="F40" s="6"/>
      <c r="G40" s="6"/>
      <c r="H40" s="7"/>
      <c r="I40" s="7"/>
      <c r="J40" s="7"/>
      <c r="K40" s="6"/>
      <c r="L40" s="7"/>
      <c r="M40" s="7"/>
      <c r="N40" s="7"/>
      <c r="O40" s="9"/>
      <c r="P40" s="6"/>
      <c r="R40" s="18"/>
      <c r="S40" s="18"/>
      <c r="T40" s="18"/>
      <c r="U40" s="18"/>
      <c r="V40" s="18"/>
      <c r="W40" s="18"/>
      <c r="X40" s="18"/>
      <c r="Y40" s="18"/>
      <c r="Z40" s="6"/>
      <c r="AA40" s="18"/>
      <c r="AN40"/>
      <c r="AO40"/>
    </row>
    <row r="41" spans="1:41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6"/>
      <c r="L41" s="7"/>
      <c r="M41" s="7"/>
      <c r="N41" s="7"/>
      <c r="O41" s="9"/>
      <c r="P41" s="6"/>
      <c r="R41" s="18"/>
      <c r="S41" s="18"/>
      <c r="T41" s="18"/>
      <c r="U41" s="18"/>
      <c r="V41" s="18"/>
      <c r="W41" s="18"/>
      <c r="X41" s="18"/>
      <c r="Y41" s="18"/>
      <c r="Z41" s="6"/>
      <c r="AA41" s="18"/>
    </row>
    <row r="42" spans="1:41" s="1" customFormat="1">
      <c r="A42" s="6"/>
      <c r="B42" s="6"/>
      <c r="C42" s="6"/>
      <c r="D42" s="6"/>
      <c r="E42" s="6"/>
      <c r="F42" s="6"/>
      <c r="G42" s="6"/>
      <c r="H42" s="7"/>
      <c r="I42" s="7"/>
      <c r="J42" s="7"/>
      <c r="K42" s="6"/>
      <c r="L42" s="7"/>
      <c r="M42" s="7"/>
      <c r="N42" s="7"/>
      <c r="O42" s="9"/>
      <c r="P42" s="6"/>
      <c r="R42" s="18"/>
      <c r="S42" s="18"/>
      <c r="T42" s="18"/>
      <c r="U42" s="18"/>
      <c r="V42" s="18"/>
      <c r="W42" s="18"/>
      <c r="X42" s="18"/>
      <c r="Y42" s="18"/>
      <c r="Z42" s="6"/>
      <c r="AA42" s="18"/>
      <c r="AN42"/>
      <c r="AO42"/>
    </row>
  </sheetData>
  <mergeCells count="40">
    <mergeCell ref="H7:H8"/>
    <mergeCell ref="A26:F26"/>
    <mergeCell ref="Q7:Q8"/>
    <mergeCell ref="G6:M6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L7:L8"/>
    <mergeCell ref="P7:P8"/>
    <mergeCell ref="A36:F36"/>
    <mergeCell ref="A28:F28"/>
    <mergeCell ref="A29:F29"/>
    <mergeCell ref="A30:F30"/>
    <mergeCell ref="A33:F33"/>
    <mergeCell ref="A31:F31"/>
    <mergeCell ref="A32:F32"/>
    <mergeCell ref="A6:F8"/>
    <mergeCell ref="G7:G8"/>
    <mergeCell ref="K7:K8"/>
    <mergeCell ref="A34:F34"/>
    <mergeCell ref="A35:F3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2015-10-13T13:33:21Z</cp:lastPrinted>
  <dcterms:created xsi:type="dcterms:W3CDTF">2013-04-24T10:34:01Z</dcterms:created>
  <dcterms:modified xsi:type="dcterms:W3CDTF">2015-10-13T13:33:28Z</dcterms:modified>
</cp:coreProperties>
</file>